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magazi.BOT\Bank of Tanzania\DFDI - DFDI Files\Financial Inclusion Data\"/>
    </mc:Choice>
  </mc:AlternateContent>
  <bookViews>
    <workbookView xWindow="0" yWindow="0" windowWidth="28800" windowHeight="11580" tabRatio="755"/>
  </bookViews>
  <sheets>
    <sheet name="ECGS Guaranteed Loan Amount" sheetId="16" r:id="rId1"/>
    <sheet name="SME-CGS Guaranteed Loan Amount" sheetId="17" r:id="rId2"/>
    <sheet name="Commulative Guarantee by Sector" sheetId="4" r:id="rId3"/>
  </sheets>
  <calcPr calcId="162913"/>
</workbook>
</file>

<file path=xl/calcChain.xml><?xml version="1.0" encoding="utf-8"?>
<calcChain xmlns="http://schemas.openxmlformats.org/spreadsheetml/2006/main">
  <c r="C2" i="17" l="1"/>
  <c r="C23" i="16"/>
  <c r="B23" i="16"/>
  <c r="G14" i="4" l="1"/>
  <c r="F14" i="4"/>
  <c r="E14" i="4"/>
  <c r="D14" i="4"/>
  <c r="C14" i="4"/>
  <c r="B14" i="4"/>
  <c r="E19" i="17" l="1"/>
  <c r="D19" i="17"/>
  <c r="C19" i="17"/>
  <c r="B19" i="17"/>
  <c r="E18" i="17"/>
  <c r="D18" i="17"/>
  <c r="C18" i="17"/>
  <c r="B18" i="17"/>
  <c r="E17" i="17"/>
  <c r="D17" i="17"/>
  <c r="C17" i="17"/>
  <c r="B17" i="17"/>
  <c r="E16" i="17"/>
  <c r="D16" i="17"/>
  <c r="C16" i="17"/>
  <c r="B16" i="17"/>
  <c r="E15" i="17"/>
  <c r="D15" i="17"/>
  <c r="C15" i="17"/>
  <c r="B15" i="17"/>
  <c r="E14" i="17"/>
  <c r="D14" i="17"/>
  <c r="C14" i="17"/>
  <c r="B14" i="17"/>
  <c r="E13" i="17"/>
  <c r="D13" i="17"/>
  <c r="C13" i="17"/>
  <c r="B13" i="17"/>
  <c r="E12" i="17"/>
  <c r="D12" i="17"/>
  <c r="C12" i="17"/>
  <c r="B12" i="17"/>
  <c r="E11" i="17"/>
  <c r="D11" i="17"/>
  <c r="C11" i="17"/>
  <c r="B11" i="17"/>
  <c r="E10" i="17"/>
  <c r="D10" i="17"/>
  <c r="C10" i="17"/>
  <c r="B10" i="17"/>
  <c r="E9" i="17"/>
  <c r="D9" i="17"/>
  <c r="C9" i="17"/>
  <c r="B9" i="17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E4" i="17"/>
  <c r="D4" i="17"/>
  <c r="C4" i="17"/>
  <c r="B4" i="17"/>
  <c r="E3" i="17"/>
  <c r="D3" i="17"/>
  <c r="C3" i="17"/>
  <c r="B3" i="17"/>
  <c r="E2" i="17"/>
  <c r="D2" i="17"/>
  <c r="C20" i="17"/>
  <c r="B2" i="17"/>
  <c r="B20" i="17" s="1"/>
</calcChain>
</file>

<file path=xl/sharedStrings.xml><?xml version="1.0" encoding="utf-8"?>
<sst xmlns="http://schemas.openxmlformats.org/spreadsheetml/2006/main" count="71" uniqueCount="45">
  <si>
    <t>2002 / 2003</t>
  </si>
  <si>
    <t>2003 / 2004</t>
  </si>
  <si>
    <t>2005 / 2006</t>
  </si>
  <si>
    <t>2009 / 2010</t>
  </si>
  <si>
    <t>2010 / 2011</t>
  </si>
  <si>
    <t>2013 / 2014</t>
  </si>
  <si>
    <t>2014 / 2015</t>
  </si>
  <si>
    <t>2015 / 2016</t>
  </si>
  <si>
    <t>2016 / 2017</t>
  </si>
  <si>
    <t>2017 / 2018</t>
  </si>
  <si>
    <t>2018 / 2019</t>
  </si>
  <si>
    <t>2019 / 2020</t>
  </si>
  <si>
    <t>Total</t>
  </si>
  <si>
    <t>Sector</t>
  </si>
  <si>
    <t>Agriculture</t>
  </si>
  <si>
    <t>Manufacturing</t>
  </si>
  <si>
    <t>Construction</t>
  </si>
  <si>
    <t>Education</t>
  </si>
  <si>
    <t>Tourism</t>
  </si>
  <si>
    <t>Communication</t>
  </si>
  <si>
    <t>Services</t>
  </si>
  <si>
    <t>Mining</t>
  </si>
  <si>
    <t>Health</t>
  </si>
  <si>
    <t>Fishing</t>
  </si>
  <si>
    <t>Transport</t>
  </si>
  <si>
    <t>Percent of guarantee</t>
  </si>
  <si>
    <t>Guaranteed loans (TZS)</t>
  </si>
  <si>
    <t>Sanctioned loans (TZS)</t>
  </si>
  <si>
    <t>2004 / 2005</t>
  </si>
  <si>
    <t>2006 / 2007</t>
  </si>
  <si>
    <t>2007 / 2008</t>
  </si>
  <si>
    <t>2008 / 2009</t>
  </si>
  <si>
    <t>2011 / 2012</t>
  </si>
  <si>
    <t>2012 / 2013</t>
  </si>
  <si>
    <t>Cumulative Loans (RHS)</t>
  </si>
  <si>
    <t>Cumulative Guarantees (RHS)</t>
  </si>
  <si>
    <t>2020 / 2021</t>
  </si>
  <si>
    <t>2021 / 2022</t>
  </si>
  <si>
    <t>2022 / 2023</t>
  </si>
  <si>
    <t xml:space="preserve">    </t>
  </si>
  <si>
    <t>Guarantee (TZS Billions)</t>
  </si>
  <si>
    <t>Loan (TZS Billions)</t>
  </si>
  <si>
    <t>Year</t>
  </si>
  <si>
    <t>Small and Medium Enterprises   – CGS</t>
  </si>
  <si>
    <t>Export Credit Guarantee Scheme - ECGS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</si>
</sst>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18">
    <font>
      <sz val="11"/>
      <color theme="1"/>
      <name val="Calibri"/>
      <family val="2"/>
      <scheme val="minor"/>
    </font>
    <font>
      <sz val="8"/>
      <name val="Calibri"/>
      <family val="2"/>
    </font>
    <font>
      <sz val="10.5"/>
      <color theme="1"/>
      <name val="Helvetica"/>
      <family val="2"/>
    </font>
    <font>
      <sz val="10.5"/>
      <color theme="1"/>
      <name val="Helvetica "/>
    </font>
    <font>
      <sz val="10.5"/>
      <color theme="1"/>
      <name val="Helvetica"/>
    </font>
    <font>
      <sz val="11"/>
      <color theme="1"/>
      <name val="Calibri"/>
      <family val="2"/>
      <scheme val="minor"/>
    </font>
    <font>
      <sz val="10.5"/>
      <color theme="0"/>
      <name val="Helvetica "/>
    </font>
    <font>
      <sz val="11"/>
      <color theme="1"/>
      <name val="Helvetica"/>
    </font>
    <font>
      <sz val="11"/>
      <color theme="0"/>
      <name val="Helvetica"/>
    </font>
    <font>
      <b/>
      <sz val="10.5"/>
      <color theme="1"/>
      <name val="Helvetica "/>
    </font>
    <font>
      <b/>
      <sz val="10.5"/>
      <color theme="0"/>
      <name val="Helvetica "/>
    </font>
    <font>
      <b/>
      <sz val="12"/>
      <color theme="1"/>
      <name val="Helvetica "/>
    </font>
    <font>
      <b/>
      <sz val="12"/>
      <color theme="0"/>
      <name val="Helvetica "/>
    </font>
    <font>
      <b/>
      <sz val="10.5"/>
      <color theme="1"/>
      <name val="Helvetica"/>
    </font>
    <font>
      <b/>
      <sz val="10.5"/>
      <color theme="0"/>
      <name val="Helvetica"/>
    </font>
    <font>
      <b/>
      <sz val="11"/>
      <color theme="1"/>
      <name val="Helvetica"/>
    </font>
    <font>
      <b/>
      <sz val="12"/>
      <color theme="1"/>
      <name val="Helvetica"/>
    </font>
    <font>
      <b/>
      <sz val="12"/>
      <color theme="0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6" fillId="0" borderId="0" xfId="0" applyFont="1"/>
    <xf numFmtId="165" fontId="6" fillId="0" borderId="0" xfId="0" applyNumberFormat="1" applyFont="1"/>
    <xf numFmtId="0" fontId="3" fillId="0" borderId="0" xfId="0" applyFont="1" applyBorder="1"/>
    <xf numFmtId="165" fontId="3" fillId="0" borderId="0" xfId="0" applyNumberFormat="1" applyFont="1" applyBorder="1"/>
    <xf numFmtId="0" fontId="3" fillId="0" borderId="2" xfId="0" applyFont="1" applyBorder="1"/>
    <xf numFmtId="165" fontId="3" fillId="0" borderId="2" xfId="0" applyNumberFormat="1" applyFont="1" applyBorder="1"/>
    <xf numFmtId="0" fontId="7" fillId="0" borderId="0" xfId="0" applyFont="1"/>
    <xf numFmtId="166" fontId="8" fillId="0" borderId="0" xfId="0" applyNumberFormat="1" applyFont="1"/>
    <xf numFmtId="0" fontId="8" fillId="0" borderId="0" xfId="0" applyFont="1"/>
    <xf numFmtId="0" fontId="4" fillId="0" borderId="0" xfId="0" applyFont="1" applyBorder="1"/>
    <xf numFmtId="166" fontId="7" fillId="0" borderId="0" xfId="0" applyNumberFormat="1" applyFont="1" applyBorder="1"/>
    <xf numFmtId="166" fontId="8" fillId="0" borderId="0" xfId="0" applyNumberFormat="1" applyFont="1" applyBorder="1"/>
    <xf numFmtId="0" fontId="8" fillId="0" borderId="0" xfId="0" applyFont="1" applyBorder="1"/>
    <xf numFmtId="0" fontId="7" fillId="0" borderId="0" xfId="0" applyFont="1" applyBorder="1"/>
    <xf numFmtId="166" fontId="7" fillId="0" borderId="2" xfId="0" applyNumberFormat="1" applyFont="1" applyBorder="1"/>
    <xf numFmtId="0" fontId="4" fillId="0" borderId="2" xfId="0" applyFont="1" applyBorder="1"/>
    <xf numFmtId="164" fontId="2" fillId="0" borderId="0" xfId="1" applyFont="1"/>
    <xf numFmtId="0" fontId="10" fillId="0" borderId="0" xfId="0" applyFont="1"/>
    <xf numFmtId="0" fontId="9" fillId="0" borderId="0" xfId="0" applyFont="1"/>
    <xf numFmtId="0" fontId="9" fillId="0" borderId="1" xfId="0" applyFont="1" applyBorder="1"/>
    <xf numFmtId="3" fontId="9" fillId="0" borderId="0" xfId="0" applyNumberFormat="1" applyFont="1"/>
    <xf numFmtId="0" fontId="11" fillId="0" borderId="2" xfId="0" applyFont="1" applyBorder="1"/>
    <xf numFmtId="165" fontId="11" fillId="0" borderId="2" xfId="0" applyNumberFormat="1" applyFont="1" applyBorder="1"/>
    <xf numFmtId="0" fontId="12" fillId="0" borderId="0" xfId="0" applyFont="1"/>
    <xf numFmtId="0" fontId="11" fillId="0" borderId="0" xfId="0" applyFont="1"/>
    <xf numFmtId="0" fontId="13" fillId="0" borderId="1" xfId="0" applyFont="1" applyBorder="1"/>
    <xf numFmtId="0" fontId="14" fillId="0" borderId="0" xfId="0" applyFont="1" applyBorder="1"/>
    <xf numFmtId="0" fontId="14" fillId="0" borderId="0" xfId="0" applyFont="1"/>
    <xf numFmtId="3" fontId="13" fillId="0" borderId="0" xfId="0" applyNumberFormat="1" applyFont="1"/>
    <xf numFmtId="0" fontId="15" fillId="0" borderId="0" xfId="0" applyFont="1"/>
    <xf numFmtId="0" fontId="16" fillId="0" borderId="2" xfId="0" applyFont="1" applyFill="1" applyBorder="1"/>
    <xf numFmtId="166" fontId="16" fillId="0" borderId="2" xfId="0" applyNumberFormat="1" applyFont="1" applyBorder="1"/>
    <xf numFmtId="0" fontId="17" fillId="0" borderId="0" xfId="0" applyFont="1" applyBorder="1"/>
    <xf numFmtId="0" fontId="17" fillId="0" borderId="0" xfId="0" applyFont="1"/>
    <xf numFmtId="0" fontId="16" fillId="0" borderId="0" xfId="0" applyFont="1"/>
    <xf numFmtId="0" fontId="13" fillId="0" borderId="0" xfId="0" applyFont="1" applyBorder="1"/>
    <xf numFmtId="0" fontId="13" fillId="0" borderId="0" xfId="0" applyFont="1"/>
    <xf numFmtId="164" fontId="2" fillId="2" borderId="0" xfId="1" applyFont="1" applyFill="1"/>
    <xf numFmtId="165" fontId="2" fillId="2" borderId="3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 wrapText="1"/>
    </xf>
    <xf numFmtId="164" fontId="2" fillId="3" borderId="0" xfId="1" applyFont="1" applyFill="1"/>
    <xf numFmtId="165" fontId="2" fillId="3" borderId="0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left" wrapText="1"/>
    </xf>
    <xf numFmtId="165" fontId="13" fillId="2" borderId="4" xfId="0" applyNumberFormat="1" applyFont="1" applyFill="1" applyBorder="1" applyAlignment="1">
      <alignment horizontal="right" wrapText="1"/>
    </xf>
    <xf numFmtId="3" fontId="13" fillId="2" borderId="4" xfId="0" applyNumberFormat="1" applyFont="1" applyFill="1" applyBorder="1" applyAlignment="1">
      <alignment horizontal="center" wrapText="1"/>
    </xf>
    <xf numFmtId="165" fontId="13" fillId="3" borderId="4" xfId="0" applyNumberFormat="1" applyFont="1" applyFill="1" applyBorder="1" applyAlignment="1">
      <alignment horizontal="right" wrapText="1"/>
    </xf>
    <xf numFmtId="3" fontId="13" fillId="3" borderId="4" xfId="0" applyNumberFormat="1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abSelected="1" workbookViewId="0">
      <pane ySplit="1" topLeftCell="A7" activePane="bottomLeft" state="frozen"/>
      <selection pane="bottomLeft" activeCell="D18" sqref="D18"/>
    </sheetView>
  </sheetViews>
  <sheetFormatPr defaultColWidth="9.1796875" defaultRowHeight="16.5" customHeight="1"/>
  <cols>
    <col min="1" max="1" width="11.1796875" style="3" bestFit="1" customWidth="1"/>
    <col min="2" max="2" width="18.1796875" style="3" bestFit="1" customWidth="1"/>
    <col min="3" max="3" width="23.1796875" style="3" bestFit="1" customWidth="1"/>
    <col min="4" max="4" width="23.54296875" style="6" customWidth="1"/>
    <col min="5" max="5" width="28.81640625" style="6" customWidth="1"/>
    <col min="6" max="6" width="22" style="3" customWidth="1"/>
    <col min="7" max="16384" width="9.1796875" style="3"/>
  </cols>
  <sheetData>
    <row r="1" spans="1:19" s="24" customFormat="1" ht="16.5" customHeight="1">
      <c r="A1" s="25" t="s">
        <v>42</v>
      </c>
      <c r="B1" s="25" t="s">
        <v>41</v>
      </c>
      <c r="C1" s="25" t="s">
        <v>40</v>
      </c>
      <c r="D1" s="23" t="s">
        <v>34</v>
      </c>
      <c r="E1" s="23"/>
      <c r="F1" s="26"/>
    </row>
    <row r="2" spans="1:19" ht="16.5" customHeight="1">
      <c r="A2" s="8" t="s">
        <v>0</v>
      </c>
      <c r="B2" s="9">
        <v>12.840821246420001</v>
      </c>
      <c r="C2" s="9">
        <v>11.600821246420001</v>
      </c>
      <c r="D2" s="7">
        <v>12.840821246420001</v>
      </c>
      <c r="E2" s="7"/>
    </row>
    <row r="3" spans="1:19" ht="16.5" customHeight="1">
      <c r="A3" s="8" t="s">
        <v>1</v>
      </c>
      <c r="B3" s="9">
        <v>129.55464437500001</v>
      </c>
      <c r="C3" s="9">
        <v>99.755366667399997</v>
      </c>
      <c r="D3" s="7">
        <v>142.39546562142002</v>
      </c>
      <c r="E3" s="7"/>
    </row>
    <row r="4" spans="1:19" ht="16.5" customHeight="1">
      <c r="A4" s="8" t="s">
        <v>28</v>
      </c>
      <c r="B4" s="9">
        <v>39.664686924999998</v>
      </c>
      <c r="C4" s="9">
        <v>28.686885265419999</v>
      </c>
      <c r="D4" s="7">
        <v>182.06015254642</v>
      </c>
      <c r="E4" s="7"/>
    </row>
    <row r="5" spans="1:19" ht="16.5" customHeight="1">
      <c r="A5" s="8" t="s">
        <v>2</v>
      </c>
      <c r="B5" s="9">
        <v>55.545035188599996</v>
      </c>
      <c r="C5" s="9">
        <v>41.367526391449999</v>
      </c>
      <c r="D5" s="7">
        <v>237.60518773502002</v>
      </c>
      <c r="E5" s="7"/>
    </row>
    <row r="6" spans="1:19" ht="16.5" customHeight="1">
      <c r="A6" s="8" t="s">
        <v>29</v>
      </c>
      <c r="B6" s="9">
        <v>11.81143116402</v>
      </c>
      <c r="C6" s="9">
        <v>7.36533554827</v>
      </c>
      <c r="D6" s="7">
        <v>249.41661889904</v>
      </c>
      <c r="E6" s="7"/>
    </row>
    <row r="7" spans="1:19" ht="16.5" customHeight="1">
      <c r="A7" s="8" t="s">
        <v>30</v>
      </c>
      <c r="B7" s="9">
        <v>53.840411770669995</v>
      </c>
      <c r="C7" s="9">
        <v>49.108753051000001</v>
      </c>
      <c r="D7" s="7">
        <v>303.25703066971005</v>
      </c>
      <c r="E7" s="7"/>
    </row>
    <row r="8" spans="1:19" ht="16.5" customHeight="1">
      <c r="A8" s="8" t="s">
        <v>31</v>
      </c>
      <c r="B8" s="9">
        <v>78.989999999999995</v>
      </c>
      <c r="C8" s="9">
        <v>57.7425</v>
      </c>
      <c r="D8" s="7">
        <v>382.24703066971</v>
      </c>
      <c r="E8" s="7"/>
    </row>
    <row r="9" spans="1:19" ht="16.5" customHeight="1">
      <c r="A9" s="8" t="s">
        <v>3</v>
      </c>
      <c r="B9" s="9">
        <v>53.061792265000001</v>
      </c>
      <c r="C9" s="9">
        <v>39.806595624250001</v>
      </c>
      <c r="D9" s="7">
        <v>435.30882293471001</v>
      </c>
      <c r="E9" s="7"/>
    </row>
    <row r="10" spans="1:19" ht="16.5" customHeight="1">
      <c r="A10" s="8" t="s">
        <v>4</v>
      </c>
      <c r="B10" s="9">
        <v>144.48710039027</v>
      </c>
      <c r="C10" s="9">
        <v>108.0430921792</v>
      </c>
      <c r="D10" s="7">
        <v>579.79592332497998</v>
      </c>
      <c r="E10" s="7"/>
    </row>
    <row r="11" spans="1:19" ht="16.5" customHeight="1">
      <c r="A11" s="8" t="s">
        <v>32</v>
      </c>
      <c r="B11" s="9">
        <v>233.86512721148998</v>
      </c>
      <c r="C11" s="9">
        <v>190.17041804023998</v>
      </c>
      <c r="D11" s="7">
        <v>813.66105053646993</v>
      </c>
      <c r="E11" s="7"/>
    </row>
    <row r="12" spans="1:19" ht="16.5" customHeight="1">
      <c r="A12" s="8" t="s">
        <v>33</v>
      </c>
      <c r="B12" s="9">
        <v>177.13096996057999</v>
      </c>
      <c r="C12" s="9">
        <v>131.95603765255001</v>
      </c>
      <c r="D12" s="7">
        <v>990.79202049704998</v>
      </c>
      <c r="E12" s="7"/>
    </row>
    <row r="13" spans="1:19" ht="16.5" customHeight="1">
      <c r="A13" s="8" t="s">
        <v>5</v>
      </c>
      <c r="B13" s="9">
        <v>191.29799674464002</v>
      </c>
      <c r="C13" s="9">
        <v>140.51381572648</v>
      </c>
      <c r="D13" s="7">
        <v>1182.09001724169</v>
      </c>
      <c r="E13" s="7"/>
    </row>
    <row r="14" spans="1:19" ht="16.5" customHeight="1">
      <c r="A14" s="8" t="s">
        <v>6</v>
      </c>
      <c r="B14" s="9">
        <v>158.83472831298002</v>
      </c>
      <c r="C14" s="9">
        <v>118.63562867774</v>
      </c>
      <c r="D14" s="7">
        <v>1340.9247455546699</v>
      </c>
      <c r="E14" s="7"/>
      <c r="S14" s="4"/>
    </row>
    <row r="15" spans="1:19" ht="16.5" customHeight="1">
      <c r="A15" s="8" t="s">
        <v>7</v>
      </c>
      <c r="B15" s="9">
        <v>173.59656866647001</v>
      </c>
      <c r="C15" s="9">
        <v>130.19742649985</v>
      </c>
      <c r="D15" s="7">
        <v>1514.5213142211398</v>
      </c>
      <c r="E15" s="7"/>
    </row>
    <row r="16" spans="1:19" ht="16.5" customHeight="1">
      <c r="A16" s="8" t="s">
        <v>8</v>
      </c>
      <c r="B16" s="9">
        <v>128.71935492694001</v>
      </c>
      <c r="C16" s="9">
        <v>96.539516195210012</v>
      </c>
      <c r="D16" s="7">
        <v>1643.2406691480799</v>
      </c>
      <c r="E16" s="7"/>
    </row>
    <row r="17" spans="1:5" ht="16.5" customHeight="1">
      <c r="A17" s="8" t="s">
        <v>9</v>
      </c>
      <c r="B17" s="9">
        <v>142.67298450601001</v>
      </c>
      <c r="C17" s="9">
        <v>106.67019820314</v>
      </c>
      <c r="D17" s="7">
        <v>1785.9136536540898</v>
      </c>
      <c r="E17" s="7"/>
    </row>
    <row r="18" spans="1:5" ht="16.5" customHeight="1">
      <c r="A18" s="8" t="s">
        <v>10</v>
      </c>
      <c r="B18" s="9">
        <v>0</v>
      </c>
      <c r="C18" s="9">
        <v>0</v>
      </c>
      <c r="D18" s="7">
        <v>1785.9136536540898</v>
      </c>
      <c r="E18" s="7"/>
    </row>
    <row r="19" spans="1:5" ht="16.5" customHeight="1">
      <c r="A19" s="8" t="s">
        <v>11</v>
      </c>
      <c r="B19" s="9">
        <v>0</v>
      </c>
      <c r="C19" s="9">
        <v>0</v>
      </c>
      <c r="D19" s="7">
        <v>1785.9136536540898</v>
      </c>
      <c r="E19" s="7"/>
    </row>
    <row r="20" spans="1:5" ht="16.5" customHeight="1">
      <c r="A20" s="8" t="s">
        <v>36</v>
      </c>
      <c r="B20" s="9">
        <v>0</v>
      </c>
      <c r="C20" s="9">
        <v>0</v>
      </c>
      <c r="D20" s="7">
        <v>1785.9136536540898</v>
      </c>
      <c r="E20" s="7"/>
    </row>
    <row r="21" spans="1:5" ht="16.5" customHeight="1">
      <c r="A21" s="8" t="s">
        <v>37</v>
      </c>
      <c r="B21" s="9">
        <v>0</v>
      </c>
      <c r="C21" s="9">
        <v>0</v>
      </c>
      <c r="D21" s="7">
        <v>1785.9136536540898</v>
      </c>
      <c r="E21" s="7"/>
    </row>
    <row r="22" spans="1:5" ht="16.5" customHeight="1">
      <c r="A22" s="10" t="s">
        <v>38</v>
      </c>
      <c r="B22" s="11">
        <v>0</v>
      </c>
      <c r="C22" s="11">
        <v>0</v>
      </c>
      <c r="D22" s="7">
        <v>1785.91365365409</v>
      </c>
      <c r="E22" s="7"/>
    </row>
    <row r="23" spans="1:5" s="30" customFormat="1" ht="16.5" customHeight="1">
      <c r="A23" s="27" t="s">
        <v>12</v>
      </c>
      <c r="B23" s="28">
        <f>SUM(B2:B22)</f>
        <v>1785.9136536540896</v>
      </c>
      <c r="C23" s="28">
        <f>SUM(C2:C22)</f>
        <v>1358.1599169686201</v>
      </c>
      <c r="D23" s="29"/>
      <c r="E23" s="29"/>
    </row>
  </sheetData>
  <phoneticPr fontId="1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pane ySplit="1" topLeftCell="A5" activePane="bottomLeft" state="frozen"/>
      <selection pane="bottomLeft" activeCell="E18" sqref="E18"/>
    </sheetView>
  </sheetViews>
  <sheetFormatPr defaultColWidth="8.81640625" defaultRowHeight="17.25" customHeight="1"/>
  <cols>
    <col min="1" max="1" width="11.1796875" style="12" bestFit="1" customWidth="1"/>
    <col min="2" max="2" width="18.1796875" style="12" bestFit="1" customWidth="1"/>
    <col min="3" max="3" width="23.1796875" style="12" bestFit="1" customWidth="1"/>
    <col min="4" max="4" width="22.453125" style="14" customWidth="1"/>
    <col min="5" max="5" width="27.7265625" style="14" customWidth="1"/>
    <col min="6" max="6" width="14.54296875" style="12" bestFit="1" customWidth="1"/>
    <col min="7" max="16384" width="8.81640625" style="12"/>
  </cols>
  <sheetData>
    <row r="1" spans="1:8" s="35" customFormat="1" ht="17.25" customHeight="1">
      <c r="A1" s="31"/>
      <c r="B1" s="31" t="s">
        <v>41</v>
      </c>
      <c r="C1" s="31" t="s">
        <v>40</v>
      </c>
      <c r="D1" s="32" t="s">
        <v>34</v>
      </c>
      <c r="E1" s="33" t="s">
        <v>35</v>
      </c>
      <c r="F1" s="34"/>
    </row>
    <row r="2" spans="1:8" ht="17.25" customHeight="1">
      <c r="A2" s="15" t="s">
        <v>2</v>
      </c>
      <c r="B2" s="16">
        <f>336*((1000000/1000000000))</f>
        <v>0.33600000000000002</v>
      </c>
      <c r="C2" s="16">
        <f>168*((1000000/1000000000))</f>
        <v>0.16800000000000001</v>
      </c>
      <c r="D2" s="17">
        <f>336*((1000000/1000000000))</f>
        <v>0.33600000000000002</v>
      </c>
      <c r="E2" s="13">
        <f>168*((1000000/1000000000))</f>
        <v>0.16800000000000001</v>
      </c>
      <c r="F2" s="5"/>
    </row>
    <row r="3" spans="1:8" ht="17.25" customHeight="1">
      <c r="A3" s="15" t="s">
        <v>29</v>
      </c>
      <c r="B3" s="16">
        <f>3064.69*((1000000/1000000000))</f>
        <v>3.0646900000000001</v>
      </c>
      <c r="C3" s="16">
        <f>1498.595*((1000000/1000000000))</f>
        <v>1.4985950000000001</v>
      </c>
      <c r="D3" s="17">
        <f>3400.69*((1000000/1000000000))</f>
        <v>3.40069</v>
      </c>
      <c r="E3" s="13">
        <f>1666.595*((1000000/1000000000))</f>
        <v>1.666595</v>
      </c>
      <c r="F3" s="5"/>
    </row>
    <row r="4" spans="1:8" ht="17.25" customHeight="1">
      <c r="A4" s="15" t="s">
        <v>30</v>
      </c>
      <c r="B4" s="16">
        <f>2685.222*((1000000/1000000000))</f>
        <v>2.6852220000000004</v>
      </c>
      <c r="C4" s="16">
        <f>1259.064876*((1000000/1000000000))</f>
        <v>1.2590648759999998</v>
      </c>
      <c r="D4" s="17">
        <f>6085.912*((1000000/1000000000))</f>
        <v>6.0859120000000004</v>
      </c>
      <c r="E4" s="13">
        <f>2925.659876*((1000000/1000000000))</f>
        <v>2.9256598760000001</v>
      </c>
      <c r="F4" s="5"/>
    </row>
    <row r="5" spans="1:8" ht="17.25" customHeight="1">
      <c r="A5" s="15" t="s">
        <v>31</v>
      </c>
      <c r="B5" s="16">
        <f>420*((1000000/1000000000))</f>
        <v>0.42</v>
      </c>
      <c r="C5" s="16">
        <f>210*((1000000/1000000000))</f>
        <v>0.21</v>
      </c>
      <c r="D5" s="17">
        <f>6505.912*((1000000/1000000000))</f>
        <v>6.5059120000000004</v>
      </c>
      <c r="E5" s="13">
        <f>3135.659876*((1000000/1000000000))</f>
        <v>3.1356598760000001</v>
      </c>
      <c r="F5" s="5"/>
    </row>
    <row r="6" spans="1:8" ht="17.25" customHeight="1">
      <c r="A6" s="15" t="s">
        <v>3</v>
      </c>
      <c r="B6" s="16">
        <f t="shared" ref="B6:C9" si="0">0*((1000000/1000000000))</f>
        <v>0</v>
      </c>
      <c r="C6" s="16">
        <f t="shared" si="0"/>
        <v>0</v>
      </c>
      <c r="D6" s="17">
        <f>6505.912*((1000000/1000000000))</f>
        <v>6.5059120000000004</v>
      </c>
      <c r="E6" s="13">
        <f>3135.659876*((1000000/1000000000))</f>
        <v>3.1356598760000001</v>
      </c>
      <c r="F6" s="5"/>
    </row>
    <row r="7" spans="1:8" ht="17.25" customHeight="1">
      <c r="A7" s="15" t="s">
        <v>4</v>
      </c>
      <c r="B7" s="16">
        <f t="shared" si="0"/>
        <v>0</v>
      </c>
      <c r="C7" s="16">
        <f t="shared" si="0"/>
        <v>0</v>
      </c>
      <c r="D7" s="17">
        <f>6505.912*((1000000/1000000000))</f>
        <v>6.5059120000000004</v>
      </c>
      <c r="E7" s="13">
        <f>3135.659876*((1000000/1000000000))</f>
        <v>3.1356598760000001</v>
      </c>
      <c r="F7" s="5"/>
    </row>
    <row r="8" spans="1:8" ht="17.25" customHeight="1">
      <c r="A8" s="15" t="s">
        <v>32</v>
      </c>
      <c r="B8" s="16">
        <f t="shared" si="0"/>
        <v>0</v>
      </c>
      <c r="C8" s="16">
        <f t="shared" si="0"/>
        <v>0</v>
      </c>
      <c r="D8" s="17">
        <f>6505.912*((1000000/1000000000))</f>
        <v>6.5059120000000004</v>
      </c>
      <c r="E8" s="13">
        <f>3135.659876*((1000000/1000000000))</f>
        <v>3.1356598760000001</v>
      </c>
      <c r="F8" s="5"/>
    </row>
    <row r="9" spans="1:8" ht="17.25" customHeight="1">
      <c r="A9" s="15" t="s">
        <v>33</v>
      </c>
      <c r="B9" s="16">
        <f t="shared" si="0"/>
        <v>0</v>
      </c>
      <c r="C9" s="16">
        <f t="shared" si="0"/>
        <v>0</v>
      </c>
      <c r="D9" s="17">
        <f>6505.912*((1000000/1000000000))</f>
        <v>6.5059120000000004</v>
      </c>
      <c r="E9" s="13">
        <f>3135.659876*((1000000/1000000000))</f>
        <v>3.1356598760000001</v>
      </c>
      <c r="F9" s="5"/>
      <c r="H9" s="12" t="s">
        <v>39</v>
      </c>
    </row>
    <row r="10" spans="1:8" ht="17.25" customHeight="1">
      <c r="A10" s="15" t="s">
        <v>5</v>
      </c>
      <c r="B10" s="16">
        <f>500*((1000000/1000000000))</f>
        <v>0.5</v>
      </c>
      <c r="C10" s="16">
        <f>250*((1000000/1000000000))</f>
        <v>0.25</v>
      </c>
      <c r="D10" s="17">
        <f>7005.912*((1000000/1000000000))</f>
        <v>7.0059120000000004</v>
      </c>
      <c r="E10" s="13">
        <f>3385.659876*((1000000/1000000000))</f>
        <v>3.3856598760000001</v>
      </c>
      <c r="F10" s="5"/>
    </row>
    <row r="11" spans="1:8" ht="17.25" customHeight="1">
      <c r="A11" s="15" t="s">
        <v>6</v>
      </c>
      <c r="B11" s="16">
        <f>50*((1000000/1000000000))</f>
        <v>0.05</v>
      </c>
      <c r="C11" s="16">
        <f>25*((1000000/1000000000))</f>
        <v>2.5000000000000001E-2</v>
      </c>
      <c r="D11" s="17">
        <f>7055.912*((1000000/1000000000))</f>
        <v>7.0559120000000002</v>
      </c>
      <c r="E11" s="13">
        <f>3410.659876*((1000000/1000000000))</f>
        <v>3.4106598760000004</v>
      </c>
      <c r="F11" s="5"/>
    </row>
    <row r="12" spans="1:8" ht="17.25" customHeight="1">
      <c r="A12" s="15" t="s">
        <v>7</v>
      </c>
      <c r="B12" s="16">
        <f>1596.82201*((1000000/1000000000))</f>
        <v>1.5968220100000001</v>
      </c>
      <c r="C12" s="16">
        <f>798.411005*((1000000/1000000000))</f>
        <v>0.79841100500000006</v>
      </c>
      <c r="D12" s="17">
        <f>8652.73401*((1000000/1000000000))</f>
        <v>8.6527340099999996</v>
      </c>
      <c r="E12" s="13">
        <f>4209.070881*((1000000/1000000000))</f>
        <v>4.2090708809999997</v>
      </c>
      <c r="F12" s="5"/>
    </row>
    <row r="13" spans="1:8" ht="17.25" customHeight="1">
      <c r="A13" s="15" t="s">
        <v>8</v>
      </c>
      <c r="B13" s="16">
        <f>1868.49122*((1000000/1000000000))</f>
        <v>1.8684912200000001</v>
      </c>
      <c r="C13" s="16">
        <f>934.24561*((1000000/1000000000))</f>
        <v>0.93424561000000006</v>
      </c>
      <c r="D13" s="17">
        <f t="shared" ref="D13:D19" si="1">10521.22523*((1000000/1000000000))</f>
        <v>10.521225230000001</v>
      </c>
      <c r="E13" s="13">
        <f t="shared" ref="E13:E19" si="2">5143.316491*((1000000/1000000000))</f>
        <v>5.1433164909999993</v>
      </c>
      <c r="F13" s="5"/>
    </row>
    <row r="14" spans="1:8" ht="17.25" customHeight="1">
      <c r="A14" s="15" t="s">
        <v>9</v>
      </c>
      <c r="B14" s="16">
        <f t="shared" ref="B14:C19" si="3">0*((1000000/1000000000))</f>
        <v>0</v>
      </c>
      <c r="C14" s="16">
        <f t="shared" si="3"/>
        <v>0</v>
      </c>
      <c r="D14" s="17">
        <f t="shared" si="1"/>
        <v>10.521225230000001</v>
      </c>
      <c r="E14" s="13">
        <f t="shared" si="2"/>
        <v>5.1433164909999993</v>
      </c>
      <c r="F14" s="5"/>
    </row>
    <row r="15" spans="1:8" ht="17.25" customHeight="1">
      <c r="A15" s="15" t="s">
        <v>10</v>
      </c>
      <c r="B15" s="16">
        <f t="shared" si="3"/>
        <v>0</v>
      </c>
      <c r="C15" s="16">
        <f t="shared" si="3"/>
        <v>0</v>
      </c>
      <c r="D15" s="17">
        <f t="shared" si="1"/>
        <v>10.521225230000001</v>
      </c>
      <c r="E15" s="13">
        <f t="shared" si="2"/>
        <v>5.1433164909999993</v>
      </c>
      <c r="F15" s="5"/>
    </row>
    <row r="16" spans="1:8" ht="17.25" customHeight="1">
      <c r="A16" s="15" t="s">
        <v>11</v>
      </c>
      <c r="B16" s="16">
        <f t="shared" si="3"/>
        <v>0</v>
      </c>
      <c r="C16" s="16">
        <f t="shared" si="3"/>
        <v>0</v>
      </c>
      <c r="D16" s="17">
        <f t="shared" si="1"/>
        <v>10.521225230000001</v>
      </c>
      <c r="E16" s="13">
        <f t="shared" si="2"/>
        <v>5.1433164909999993</v>
      </c>
      <c r="F16" s="5"/>
    </row>
    <row r="17" spans="1:6" ht="17.25" customHeight="1">
      <c r="A17" s="15" t="s">
        <v>36</v>
      </c>
      <c r="B17" s="16">
        <f t="shared" si="3"/>
        <v>0</v>
      </c>
      <c r="C17" s="16">
        <f t="shared" si="3"/>
        <v>0</v>
      </c>
      <c r="D17" s="17">
        <f t="shared" si="1"/>
        <v>10.521225230000001</v>
      </c>
      <c r="E17" s="13">
        <f t="shared" si="2"/>
        <v>5.1433164909999993</v>
      </c>
      <c r="F17" s="5"/>
    </row>
    <row r="18" spans="1:6" ht="17.25" customHeight="1">
      <c r="A18" s="15" t="s">
        <v>37</v>
      </c>
      <c r="B18" s="16">
        <f t="shared" si="3"/>
        <v>0</v>
      </c>
      <c r="C18" s="16">
        <f t="shared" si="3"/>
        <v>0</v>
      </c>
      <c r="D18" s="17">
        <f t="shared" si="1"/>
        <v>10.521225230000001</v>
      </c>
      <c r="E18" s="13">
        <f t="shared" si="2"/>
        <v>5.1433164909999993</v>
      </c>
      <c r="F18" s="5"/>
    </row>
    <row r="19" spans="1:6" ht="17.25" customHeight="1">
      <c r="A19" s="21" t="s">
        <v>38</v>
      </c>
      <c r="B19" s="20">
        <f t="shared" si="3"/>
        <v>0</v>
      </c>
      <c r="C19" s="20">
        <f t="shared" si="3"/>
        <v>0</v>
      </c>
      <c r="D19" s="17">
        <f t="shared" si="1"/>
        <v>10.521225230000001</v>
      </c>
      <c r="E19" s="13">
        <f t="shared" si="2"/>
        <v>5.1433164909999993</v>
      </c>
      <c r="F19" s="5"/>
    </row>
    <row r="20" spans="1:6" s="40" customFormat="1" ht="17.25" customHeight="1">
      <c r="A20" s="36" t="s">
        <v>12</v>
      </c>
      <c r="B20" s="37">
        <f>SUM(B2:B18)</f>
        <v>10.521225229999999</v>
      </c>
      <c r="C20" s="37">
        <f>SUM(C2:C18)</f>
        <v>5.1433164910000002</v>
      </c>
      <c r="D20" s="38"/>
      <c r="E20" s="39"/>
    </row>
    <row r="21" spans="1:6" ht="17.25" customHeight="1">
      <c r="A21" s="19"/>
      <c r="B21" s="19"/>
      <c r="C21" s="19"/>
      <c r="D21" s="18"/>
    </row>
    <row r="22" spans="1:6" ht="17.25" customHeight="1">
      <c r="A22" s="19"/>
      <c r="B22" s="19"/>
      <c r="C22" s="19"/>
      <c r="D22" s="18"/>
    </row>
    <row r="23" spans="1:6" ht="17.25" customHeight="1">
      <c r="A23" s="19"/>
      <c r="B23" s="19"/>
      <c r="C23" s="19"/>
      <c r="D23" s="1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796875" defaultRowHeight="13.5"/>
  <cols>
    <col min="1" max="1" width="13.90625" style="1" bestFit="1" customWidth="1"/>
    <col min="2" max="2" width="13.36328125" style="1" customWidth="1"/>
    <col min="3" max="3" width="13.7265625" style="1" customWidth="1"/>
    <col min="4" max="4" width="12.08984375" style="1" customWidth="1"/>
    <col min="5" max="5" width="12.6328125" style="1" customWidth="1"/>
    <col min="6" max="6" width="13.54296875" style="1" customWidth="1"/>
    <col min="7" max="7" width="12.08984375" style="1" customWidth="1"/>
    <col min="8" max="16384" width="9.1796875" style="1"/>
  </cols>
  <sheetData>
    <row r="1" spans="1:9" ht="30.5" customHeight="1">
      <c r="A1" s="58" t="s">
        <v>13</v>
      </c>
      <c r="B1" s="60" t="s">
        <v>44</v>
      </c>
      <c r="C1" s="60"/>
      <c r="D1" s="60"/>
      <c r="E1" s="61" t="s">
        <v>43</v>
      </c>
      <c r="F1" s="61"/>
      <c r="G1" s="61"/>
    </row>
    <row r="2" spans="1:9" ht="30" customHeight="1">
      <c r="A2" s="59"/>
      <c r="B2" s="50" t="s">
        <v>27</v>
      </c>
      <c r="C2" s="50" t="s">
        <v>26</v>
      </c>
      <c r="D2" s="51" t="s">
        <v>25</v>
      </c>
      <c r="E2" s="52" t="s">
        <v>27</v>
      </c>
      <c r="F2" s="52" t="s">
        <v>26</v>
      </c>
      <c r="G2" s="52" t="s">
        <v>25</v>
      </c>
    </row>
    <row r="3" spans="1:9" ht="20.149999999999999" customHeight="1">
      <c r="A3" s="48" t="s">
        <v>14</v>
      </c>
      <c r="B3" s="43">
        <v>1571125.9137541002</v>
      </c>
      <c r="C3" s="43">
        <v>1184454.3277350001</v>
      </c>
      <c r="D3" s="44">
        <v>87.2</v>
      </c>
      <c r="E3" s="46">
        <v>4800.0752300000004</v>
      </c>
      <c r="F3" s="46">
        <v>2316.4914910000002</v>
      </c>
      <c r="G3" s="47">
        <v>45</v>
      </c>
    </row>
    <row r="4" spans="1:9" ht="20.149999999999999" customHeight="1">
      <c r="A4" s="49" t="s">
        <v>15</v>
      </c>
      <c r="B4" s="43">
        <v>195421.07323329998</v>
      </c>
      <c r="C4" s="43">
        <v>161055.58923360001</v>
      </c>
      <c r="D4" s="45">
        <v>11.9</v>
      </c>
      <c r="E4" s="46">
        <v>1514.94</v>
      </c>
      <c r="F4" s="46">
        <v>757.47</v>
      </c>
      <c r="G4" s="47">
        <v>14.7</v>
      </c>
    </row>
    <row r="5" spans="1:9" ht="20.149999999999999" customHeight="1">
      <c r="A5" s="49" t="s">
        <v>16</v>
      </c>
      <c r="B5" s="43">
        <v>0</v>
      </c>
      <c r="C5" s="43">
        <v>0</v>
      </c>
      <c r="D5" s="45">
        <v>0</v>
      </c>
      <c r="E5" s="46">
        <v>1485</v>
      </c>
      <c r="F5" s="46">
        <v>725</v>
      </c>
      <c r="G5" s="47">
        <v>14.1</v>
      </c>
    </row>
    <row r="6" spans="1:9" ht="20.149999999999999" customHeight="1">
      <c r="A6" s="49" t="s">
        <v>17</v>
      </c>
      <c r="B6" s="43">
        <v>0</v>
      </c>
      <c r="C6" s="43">
        <v>0</v>
      </c>
      <c r="D6" s="45">
        <v>0</v>
      </c>
      <c r="E6" s="46">
        <v>930</v>
      </c>
      <c r="F6" s="46">
        <v>465</v>
      </c>
      <c r="G6" s="47">
        <v>9</v>
      </c>
    </row>
    <row r="7" spans="1:9" ht="20.149999999999999" customHeight="1">
      <c r="A7" s="49" t="s">
        <v>18</v>
      </c>
      <c r="B7" s="43">
        <v>0</v>
      </c>
      <c r="C7" s="43">
        <v>0</v>
      </c>
      <c r="D7" s="45">
        <v>0</v>
      </c>
      <c r="E7" s="46">
        <v>874.16</v>
      </c>
      <c r="F7" s="46">
        <v>420.83</v>
      </c>
      <c r="G7" s="47">
        <v>8.1999999999999993</v>
      </c>
    </row>
    <row r="8" spans="1:9" ht="20.149999999999999" customHeight="1">
      <c r="A8" s="49" t="s">
        <v>19</v>
      </c>
      <c r="B8" s="43">
        <v>0</v>
      </c>
      <c r="C8" s="43">
        <v>0</v>
      </c>
      <c r="D8" s="45">
        <v>0</v>
      </c>
      <c r="E8" s="46">
        <v>570</v>
      </c>
      <c r="F8" s="46">
        <v>285</v>
      </c>
      <c r="G8" s="47">
        <v>5.5</v>
      </c>
    </row>
    <row r="9" spans="1:9" ht="20.149999999999999" customHeight="1">
      <c r="A9" s="49" t="s">
        <v>20</v>
      </c>
      <c r="B9" s="43">
        <v>0</v>
      </c>
      <c r="C9" s="43">
        <v>0</v>
      </c>
      <c r="D9" s="45">
        <v>0</v>
      </c>
      <c r="E9" s="46">
        <v>130.80000000000001</v>
      </c>
      <c r="F9" s="46">
        <v>65.400000000000006</v>
      </c>
      <c r="G9" s="47">
        <v>1.3</v>
      </c>
    </row>
    <row r="10" spans="1:9" ht="20.149999999999999" customHeight="1">
      <c r="A10" s="49" t="s">
        <v>21</v>
      </c>
      <c r="B10" s="43">
        <v>14866.666666700001</v>
      </c>
      <c r="C10" s="43">
        <v>11150</v>
      </c>
      <c r="D10" s="45">
        <v>0.8</v>
      </c>
      <c r="E10" s="46">
        <v>68</v>
      </c>
      <c r="F10" s="46">
        <v>34</v>
      </c>
      <c r="G10" s="47">
        <v>0.7</v>
      </c>
    </row>
    <row r="11" spans="1:9" ht="20.149999999999999" customHeight="1">
      <c r="A11" s="49" t="s">
        <v>22</v>
      </c>
      <c r="B11" s="43">
        <v>0</v>
      </c>
      <c r="C11" s="43">
        <v>0</v>
      </c>
      <c r="D11" s="45">
        <v>0</v>
      </c>
      <c r="E11" s="46">
        <v>63.75</v>
      </c>
      <c r="F11" s="46">
        <v>31.875</v>
      </c>
      <c r="G11" s="47">
        <v>0.6</v>
      </c>
    </row>
    <row r="12" spans="1:9" ht="20.149999999999999" customHeight="1">
      <c r="A12" s="49" t="s">
        <v>23</v>
      </c>
      <c r="B12" s="43">
        <v>4500</v>
      </c>
      <c r="C12" s="43">
        <v>1500</v>
      </c>
      <c r="D12" s="45">
        <v>0.1</v>
      </c>
      <c r="E12" s="46">
        <v>50</v>
      </c>
      <c r="F12" s="46">
        <v>25</v>
      </c>
      <c r="G12" s="47">
        <v>0.5</v>
      </c>
    </row>
    <row r="13" spans="1:9" ht="20.149999999999999" customHeight="1">
      <c r="A13" s="49" t="s">
        <v>24</v>
      </c>
      <c r="B13" s="43">
        <v>0</v>
      </c>
      <c r="C13" s="43">
        <v>0</v>
      </c>
      <c r="D13" s="45">
        <v>0</v>
      </c>
      <c r="E13" s="46">
        <v>34.5</v>
      </c>
      <c r="F13" s="46">
        <v>17.25</v>
      </c>
      <c r="G13" s="47">
        <v>0.3</v>
      </c>
    </row>
    <row r="14" spans="1:9" s="42" customFormat="1" ht="20.149999999999999" customHeight="1" thickBot="1">
      <c r="A14" s="53" t="s">
        <v>12</v>
      </c>
      <c r="B14" s="54">
        <f>SUM(B3:B13)</f>
        <v>1785913.6536541001</v>
      </c>
      <c r="C14" s="54">
        <f t="shared" ref="C14:G14" si="0">SUM(C3:C13)</f>
        <v>1358159.9169686001</v>
      </c>
      <c r="D14" s="55">
        <f t="shared" si="0"/>
        <v>100</v>
      </c>
      <c r="E14" s="56">
        <f t="shared" si="0"/>
        <v>10521.22523</v>
      </c>
      <c r="F14" s="56">
        <f t="shared" si="0"/>
        <v>5143.3164909999996</v>
      </c>
      <c r="G14" s="57">
        <f t="shared" si="0"/>
        <v>99.899999999999991</v>
      </c>
      <c r="H14" s="41"/>
      <c r="I14" s="41"/>
    </row>
    <row r="15" spans="1:9" ht="14" thickTop="1">
      <c r="A15" s="2"/>
      <c r="B15" s="2"/>
      <c r="C15" s="2"/>
      <c r="D15" s="2"/>
      <c r="E15" s="2"/>
      <c r="F15" s="2"/>
      <c r="G15" s="2"/>
      <c r="H15" s="2"/>
      <c r="I15" s="2"/>
    </row>
    <row r="22" spans="5:5">
      <c r="E22" s="22"/>
    </row>
  </sheetData>
  <mergeCells count="3">
    <mergeCell ref="A1:A2"/>
    <mergeCell ref="B1:D1"/>
    <mergeCell ref="E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15D7C7B07ACC45AE866E791BEDBC20" ma:contentTypeVersion="14" ma:contentTypeDescription="Create a new document." ma:contentTypeScope="" ma:versionID="e3cedb2702e5987684be18fe665a170c">
  <xsd:schema xmlns:xsd="http://www.w3.org/2001/XMLSchema" xmlns:xs="http://www.w3.org/2001/XMLSchema" xmlns:p="http://schemas.microsoft.com/office/2006/metadata/properties" xmlns:ns2="3f9a2b6f-f9c7-4096-94c4-c145612c72f9" xmlns:ns3="b25eb8f5-fc64-47de-9c70-7e8ea65ba27b" targetNamespace="http://schemas.microsoft.com/office/2006/metadata/properties" ma:root="true" ma:fieldsID="1d58cd7e4cc783143f5414d347e4805d" ns2:_="" ns3:_="">
    <xsd:import namespace="3f9a2b6f-f9c7-4096-94c4-c145612c72f9"/>
    <xsd:import namespace="b25eb8f5-fc64-47de-9c70-7e8ea65ba2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a2b6f-f9c7-4096-94c4-c145612c7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cf28ed-09fe-4777-90fe-32a2f6649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eb8f5-fc64-47de-9c70-7e8ea65ba27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8ca365-84c0-41af-8b97-50ff30b54c90}" ma:internalName="TaxCatchAll" ma:showField="CatchAllData" ma:web="b25eb8f5-fc64-47de-9c70-7e8ea65ba2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1595E-8A40-4BF3-8964-B688633685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E5F9BA-9E0E-430A-8E8C-E00743851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a2b6f-f9c7-4096-94c4-c145612c72f9"/>
    <ds:schemaRef ds:uri="b25eb8f5-fc64-47de-9c70-7e8ea65ba2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ECGS Guaranteed Loan Amount</vt:lpstr>
      <vt:lpstr>SME-CGS Guaranteed Loan Amount</vt:lpstr>
      <vt:lpstr>Commulative Guarantee by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S. Chellunga</dc:creator>
  <cp:lastModifiedBy>Lucas Paul Magazi</cp:lastModifiedBy>
  <dcterms:created xsi:type="dcterms:W3CDTF">2020-08-18T07:14:36Z</dcterms:created>
  <dcterms:modified xsi:type="dcterms:W3CDTF">2023-09-07T11:08:32Z</dcterms:modified>
</cp:coreProperties>
</file>